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videos\parciales\"/>
    </mc:Choice>
  </mc:AlternateContent>
  <xr:revisionPtr revIDLastSave="0" documentId="8_{398E194A-03F1-495B-A89C-65E634DFA7B7}" xr6:coauthVersionLast="47" xr6:coauthVersionMax="47" xr10:uidLastSave="{00000000-0000-0000-0000-000000000000}"/>
  <bookViews>
    <workbookView xWindow="-103" yWindow="-103" windowWidth="19406" windowHeight="11486" activeTab="3" xr2:uid="{6338BA98-8BB2-4D45-AAA7-AF6FF412EA75}"/>
  </bookViews>
  <sheets>
    <sheet name="Datos" sheetId="2" r:id="rId1"/>
    <sheet name="ECONÓMICO" sheetId="1" r:id="rId2"/>
    <sheet name="FINANCIERO" sheetId="3" r:id="rId3"/>
    <sheet name="Pasivo + P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I5" i="4"/>
  <c r="I4" i="4"/>
  <c r="B3" i="4"/>
  <c r="E4" i="4"/>
  <c r="B33" i="3"/>
  <c r="B2" i="4"/>
  <c r="H28" i="3"/>
  <c r="H18" i="3"/>
  <c r="I24" i="3"/>
  <c r="I25" i="3"/>
  <c r="U17" i="3"/>
  <c r="N31" i="3"/>
  <c r="M31" i="3"/>
  <c r="G25" i="3"/>
  <c r="G23" i="3"/>
  <c r="F24" i="3"/>
  <c r="F22" i="3"/>
  <c r="E23" i="3"/>
  <c r="E21" i="3"/>
  <c r="D22" i="3"/>
  <c r="C21" i="3"/>
  <c r="D20" i="3"/>
  <c r="B20" i="3"/>
  <c r="C19" i="3"/>
  <c r="N30" i="3"/>
  <c r="U16" i="3" s="1"/>
  <c r="N29" i="3"/>
  <c r="U15" i="3" s="1"/>
  <c r="N28" i="3"/>
  <c r="U14" i="3" s="1"/>
  <c r="N27" i="3"/>
  <c r="U13" i="3" s="1"/>
  <c r="N26" i="3"/>
  <c r="U12" i="3" s="1"/>
  <c r="N25" i="3"/>
  <c r="U11" i="3" s="1"/>
  <c r="N24" i="3"/>
  <c r="U10" i="3" s="1"/>
  <c r="B18" i="3" s="1"/>
  <c r="N23" i="3"/>
  <c r="U9" i="3" s="1"/>
  <c r="N22" i="3"/>
  <c r="U8" i="3" s="1"/>
  <c r="N21" i="3"/>
  <c r="U7" i="3" s="1"/>
  <c r="N19" i="3"/>
  <c r="U5" i="3" s="1"/>
  <c r="N20" i="3"/>
  <c r="U6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A18" i="3"/>
  <c r="A25" i="3"/>
  <c r="A24" i="3"/>
  <c r="A23" i="3"/>
  <c r="A22" i="3"/>
  <c r="A21" i="3"/>
  <c r="A20" i="3"/>
  <c r="A19" i="3"/>
  <c r="I17" i="3"/>
  <c r="B13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H12" i="3" s="1"/>
  <c r="C12" i="3"/>
  <c r="D12" i="3"/>
  <c r="E12" i="3"/>
  <c r="F12" i="3"/>
  <c r="G12" i="3"/>
  <c r="C13" i="3"/>
  <c r="D13" i="3"/>
  <c r="E13" i="3"/>
  <c r="F13" i="3"/>
  <c r="G13" i="3"/>
  <c r="H6" i="3"/>
  <c r="F11" i="1"/>
  <c r="E11" i="1"/>
  <c r="D11" i="1"/>
  <c r="G10" i="1"/>
  <c r="F10" i="1"/>
  <c r="E10" i="1"/>
  <c r="D10" i="1"/>
  <c r="C10" i="1"/>
  <c r="B10" i="1"/>
  <c r="H10" i="1" s="1"/>
  <c r="G9" i="1"/>
  <c r="F9" i="1"/>
  <c r="E9" i="1"/>
  <c r="D9" i="1"/>
  <c r="C9" i="1"/>
  <c r="B9" i="1"/>
  <c r="B13" i="1"/>
  <c r="F7" i="1"/>
  <c r="E7" i="1"/>
  <c r="D7" i="1"/>
  <c r="G5" i="1"/>
  <c r="G6" i="1" s="1"/>
  <c r="G7" i="1" s="1"/>
  <c r="F5" i="1"/>
  <c r="F6" i="1" s="1"/>
  <c r="E5" i="1"/>
  <c r="E6" i="1" s="1"/>
  <c r="D5" i="1"/>
  <c r="D6" i="1" s="1"/>
  <c r="H16" i="2"/>
  <c r="E8" i="4"/>
  <c r="K2" i="4"/>
  <c r="H17" i="3"/>
  <c r="B5" i="3"/>
  <c r="B14" i="3" s="1"/>
  <c r="C5" i="1"/>
  <c r="C6" i="1" s="1"/>
  <c r="B5" i="1"/>
  <c r="B6" i="1" s="1"/>
  <c r="E23" i="2"/>
  <c r="H5" i="2"/>
  <c r="B6" i="2"/>
  <c r="K6" i="4" l="1"/>
  <c r="B6" i="4" s="1"/>
  <c r="H25" i="3"/>
  <c r="H24" i="3"/>
  <c r="G27" i="3"/>
  <c r="H22" i="3"/>
  <c r="C27" i="3"/>
  <c r="E27" i="3"/>
  <c r="B27" i="3"/>
  <c r="B28" i="3" s="1"/>
  <c r="B29" i="3" s="1"/>
  <c r="D27" i="3"/>
  <c r="E3" i="4"/>
  <c r="H9" i="3"/>
  <c r="H10" i="3"/>
  <c r="D14" i="3"/>
  <c r="H16" i="3"/>
  <c r="H21" i="3"/>
  <c r="H19" i="3"/>
  <c r="C7" i="1"/>
  <c r="C11" i="1" s="1"/>
  <c r="H6" i="1"/>
  <c r="H20" i="3"/>
  <c r="H5" i="3"/>
  <c r="G11" i="1"/>
  <c r="H9" i="1"/>
  <c r="B7" i="1"/>
  <c r="H5" i="1"/>
  <c r="D28" i="3" l="1"/>
  <c r="E5" i="4"/>
  <c r="H23" i="3"/>
  <c r="F27" i="3"/>
  <c r="E14" i="3"/>
  <c r="E28" i="3" s="1"/>
  <c r="H13" i="3"/>
  <c r="H11" i="3"/>
  <c r="C14" i="3"/>
  <c r="C28" i="3" s="1"/>
  <c r="C29" i="3" s="1"/>
  <c r="H8" i="3"/>
  <c r="B11" i="1"/>
  <c r="H7" i="1"/>
  <c r="H11" i="1" s="1"/>
  <c r="E9" i="4" s="1"/>
  <c r="E10" i="4" s="1"/>
  <c r="D29" i="3" l="1"/>
  <c r="E12" i="4"/>
  <c r="H27" i="3"/>
  <c r="E29" i="3"/>
  <c r="F14" i="3"/>
  <c r="F28" i="3" s="1"/>
  <c r="F29" i="3" l="1"/>
  <c r="G14" i="3"/>
  <c r="G28" i="3" s="1"/>
  <c r="H7" i="3"/>
  <c r="H14" i="3" s="1"/>
  <c r="G29" i="3" l="1"/>
  <c r="B7" i="4"/>
  <c r="A17" i="4" s="1"/>
</calcChain>
</file>

<file path=xl/sharedStrings.xml><?xml version="1.0" encoding="utf-8"?>
<sst xmlns="http://schemas.openxmlformats.org/spreadsheetml/2006/main" count="177" uniqueCount="99">
  <si>
    <t>CONCEPTO</t>
  </si>
  <si>
    <t>MESES</t>
  </si>
  <si>
    <t>TOTAL</t>
  </si>
  <si>
    <t>Presupuesto VENTAS</t>
  </si>
  <si>
    <t>Presupuesto COSTO de VENTAS</t>
  </si>
  <si>
    <t>Contribución Marginal</t>
  </si>
  <si>
    <t>Amortizaciones</t>
  </si>
  <si>
    <t>INGRESOS</t>
  </si>
  <si>
    <t>EGRESOS</t>
  </si>
  <si>
    <t>Costos fijos</t>
  </si>
  <si>
    <t>TOTALES</t>
  </si>
  <si>
    <t>ACTIVO:</t>
  </si>
  <si>
    <t>Caja</t>
  </si>
  <si>
    <t>Mercaderías</t>
  </si>
  <si>
    <t>PASIVO+PN:</t>
  </si>
  <si>
    <t>Acreedores Varios</t>
  </si>
  <si>
    <t>Proveedores</t>
  </si>
  <si>
    <t>VENTAS</t>
  </si>
  <si>
    <t>ANTERIORES</t>
  </si>
  <si>
    <t>PRESUPUESTADAS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</si>
  <si>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</si>
  <si>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</si>
  <si>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</si>
  <si>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</si>
  <si>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</si>
  <si>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</si>
  <si>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</si>
  <si>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</si>
  <si>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Condiciones</t>
  </si>
  <si>
    <t>Margen de contribución:</t>
  </si>
  <si>
    <t>días, que son:</t>
  </si>
  <si>
    <t>meses</t>
  </si>
  <si>
    <r>
      <t xml:space="preserve">Tiempo de </t>
    </r>
    <r>
      <rPr>
        <sz val="11"/>
        <color rgb="FFFF0000"/>
        <rFont val="Aptos Narrow"/>
        <family val="2"/>
        <scheme val="minor"/>
      </rPr>
      <t>anticipación</t>
    </r>
    <r>
      <rPr>
        <sz val="11"/>
        <color theme="1"/>
        <rFont val="Aptos Narrow"/>
        <family val="2"/>
        <scheme val="minor"/>
      </rPr>
      <t xml:space="preserve"> en compras:</t>
    </r>
  </si>
  <si>
    <r>
      <t>Pago de las compras (</t>
    </r>
    <r>
      <rPr>
        <sz val="11"/>
        <color rgb="FFFF0000"/>
        <rFont val="Aptos Narrow"/>
        <family val="2"/>
        <scheme val="minor"/>
      </rPr>
      <t>demora</t>
    </r>
    <r>
      <rPr>
        <sz val="11"/>
        <color theme="1"/>
        <rFont val="Aptos Narrow"/>
        <family val="2"/>
        <scheme val="minor"/>
      </rPr>
      <t>):</t>
    </r>
  </si>
  <si>
    <t xml:space="preserve">Gastos fijos: </t>
  </si>
  <si>
    <t>Pago a ACREEDORES</t>
  </si>
  <si>
    <t>PRESUPUESTO ECONÓMICO</t>
  </si>
  <si>
    <t>no hay amortizaciones en este ejercicio</t>
  </si>
  <si>
    <t>PRESUPUESTO FINANCIERO</t>
  </si>
  <si>
    <t>ESQUEMA FINANCIERO</t>
  </si>
  <si>
    <t>X</t>
  </si>
  <si>
    <t>X-1</t>
  </si>
  <si>
    <t>X-2</t>
  </si>
  <si>
    <t>COMPRAS</t>
  </si>
  <si>
    <t>INGRESOS ACTIVOS</t>
  </si>
  <si>
    <t>X+1</t>
  </si>
  <si>
    <t>X+2</t>
  </si>
  <si>
    <t>HOY</t>
  </si>
  <si>
    <t>ingreso del activo</t>
  </si>
  <si>
    <t>DIFERIDO</t>
  </si>
  <si>
    <t>Totales INGRESOS</t>
  </si>
  <si>
    <t>Totales EGRESOS</t>
  </si>
  <si>
    <t>VENTAS:</t>
  </si>
  <si>
    <t>las ventas se cobran 100% en el momento de la venta</t>
  </si>
  <si>
    <t>Acreedores (amortización)</t>
  </si>
  <si>
    <t>saldo anterior</t>
  </si>
  <si>
    <t xml:space="preserve">compro en </t>
  </si>
  <si>
    <t xml:space="preserve"> para </t>
  </si>
  <si>
    <t>ventas</t>
  </si>
  <si>
    <t>junio</t>
  </si>
  <si>
    <t>julio</t>
  </si>
  <si>
    <t>MERCADERÍAS</t>
  </si>
  <si>
    <t>esto incluye lo que voy a usar en enero y febrero</t>
  </si>
  <si>
    <t>lo gasto en marzo, lo pago en abril</t>
  </si>
  <si>
    <t>PASIVO:</t>
  </si>
  <si>
    <t>PN:</t>
  </si>
  <si>
    <t>Capital</t>
  </si>
  <si>
    <t>resultado del ejercicio</t>
  </si>
  <si>
    <t>Pasivo+PN</t>
  </si>
  <si>
    <t>total PASIVO</t>
  </si>
  <si>
    <t>total ACTIVO</t>
  </si>
  <si>
    <t>total PATR. NETO</t>
  </si>
  <si>
    <t>PASIVO + PN</t>
  </si>
  <si>
    <t>agosto</t>
  </si>
  <si>
    <t>septiembre</t>
  </si>
  <si>
    <t>Deudores por venta</t>
  </si>
  <si>
    <t>Muebles y útiles</t>
  </si>
  <si>
    <t>enero X1</t>
  </si>
  <si>
    <t>Las ventas se cobran 70% al contado y el resto a 30 días</t>
  </si>
  <si>
    <t>al momento de ingreso del activo</t>
  </si>
  <si>
    <t>80% a los 60 días</t>
  </si>
  <si>
    <t>mensuales</t>
  </si>
  <si>
    <t>se pagan en el mismo mes que se producen</t>
  </si>
  <si>
    <t>por mes desde noviembre</t>
  </si>
  <si>
    <t>Muebles y útiles:</t>
  </si>
  <si>
    <t>años</t>
  </si>
  <si>
    <t>vida útil:</t>
  </si>
  <si>
    <t>COMPRAS PARA:</t>
  </si>
  <si>
    <t xml:space="preserve"> pago 20% en </t>
  </si>
  <si>
    <t xml:space="preserve">y 80% en </t>
  </si>
  <si>
    <t>SALDO</t>
  </si>
  <si>
    <t>compras = 60%</t>
  </si>
  <si>
    <t>proveedores anteriores:</t>
  </si>
  <si>
    <t>verificado</t>
  </si>
  <si>
    <t>amort?</t>
  </si>
  <si>
    <t>muebles?</t>
  </si>
  <si>
    <t>DEUDAS POR VENTAS</t>
  </si>
  <si>
    <t>Deudores por ventas</t>
  </si>
  <si>
    <t>amortiz (muebles)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</si>
</sst>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#,##0_ ;[Red]\-#,##0\ 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8" fontId="0" fillId="0" borderId="0" xfId="0" applyNumberFormat="1"/>
    <xf numFmtId="8" fontId="2" fillId="0" borderId="0" xfId="0" applyNumberFormat="1" applyFont="1"/>
    <xf numFmtId="8" fontId="3" fillId="0" borderId="0" xfId="0" applyNumberFormat="1" applyFont="1"/>
    <xf numFmtId="8" fontId="0" fillId="0" borderId="21" xfId="0" applyNumberFormat="1" applyBorder="1" applyAlignment="1">
      <alignment horizontal="right" vertical="center"/>
    </xf>
    <xf numFmtId="8" fontId="0" fillId="0" borderId="22" xfId="0" applyNumberFormat="1" applyBorder="1" applyAlignment="1">
      <alignment horizontal="right" vertical="center"/>
    </xf>
    <xf numFmtId="8" fontId="0" fillId="0" borderId="23" xfId="0" applyNumberFormat="1" applyBorder="1" applyAlignment="1">
      <alignment horizontal="right" vertical="center"/>
    </xf>
    <xf numFmtId="8" fontId="0" fillId="0" borderId="12" xfId="0" applyNumberFormat="1" applyBorder="1" applyAlignment="1">
      <alignment horizontal="right" vertical="center"/>
    </xf>
    <xf numFmtId="8" fontId="0" fillId="0" borderId="18" xfId="0" applyNumberFormat="1" applyBorder="1" applyAlignment="1">
      <alignment horizontal="right" vertical="center"/>
    </xf>
    <xf numFmtId="8" fontId="0" fillId="0" borderId="19" xfId="0" applyNumberFormat="1" applyBorder="1" applyAlignment="1">
      <alignment horizontal="right" vertical="center"/>
    </xf>
    <xf numFmtId="8" fontId="0" fillId="0" borderId="20" xfId="0" applyNumberFormat="1" applyBorder="1" applyAlignment="1">
      <alignment horizontal="right" vertical="center"/>
    </xf>
    <xf numFmtId="8" fontId="0" fillId="0" borderId="31" xfId="0" applyNumberFormat="1" applyBorder="1" applyAlignment="1">
      <alignment horizontal="right" vertical="center"/>
    </xf>
    <xf numFmtId="8" fontId="0" fillId="0" borderId="32" xfId="0" applyNumberFormat="1" applyBorder="1" applyAlignment="1">
      <alignment horizontal="right" vertical="center"/>
    </xf>
    <xf numFmtId="8" fontId="0" fillId="0" borderId="33" xfId="0" applyNumberFormat="1" applyBorder="1" applyAlignment="1">
      <alignment horizontal="right" vertical="center"/>
    </xf>
    <xf numFmtId="8" fontId="0" fillId="0" borderId="34" xfId="0" applyNumberFormat="1" applyBorder="1" applyAlignment="1">
      <alignment horizontal="right" vertical="center"/>
    </xf>
    <xf numFmtId="8" fontId="0" fillId="2" borderId="0" xfId="0" applyNumberFormat="1" applyFill="1"/>
    <xf numFmtId="8" fontId="0" fillId="2" borderId="38" xfId="0" applyNumberFormat="1" applyFill="1" applyBorder="1"/>
    <xf numFmtId="9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8" fontId="0" fillId="0" borderId="39" xfId="0" applyNumberFormat="1" applyBorder="1" applyAlignment="1">
      <alignment horizontal="right" vertical="center"/>
    </xf>
    <xf numFmtId="8" fontId="0" fillId="0" borderId="40" xfId="0" applyNumberFormat="1" applyBorder="1" applyAlignment="1">
      <alignment horizontal="right" vertical="center"/>
    </xf>
    <xf numFmtId="8" fontId="0" fillId="0" borderId="41" xfId="0" applyNumberFormat="1" applyBorder="1" applyAlignment="1">
      <alignment horizontal="right" vertical="center"/>
    </xf>
    <xf numFmtId="8" fontId="0" fillId="0" borderId="8" xfId="0" applyNumberFormat="1" applyBorder="1" applyAlignment="1">
      <alignment horizontal="right" vertical="center"/>
    </xf>
    <xf numFmtId="8" fontId="0" fillId="0" borderId="13" xfId="0" applyNumberFormat="1" applyBorder="1" applyAlignment="1">
      <alignment horizontal="right" vertical="center"/>
    </xf>
    <xf numFmtId="8" fontId="0" fillId="0" borderId="14" xfId="0" applyNumberFormat="1" applyBorder="1" applyAlignment="1">
      <alignment horizontal="right" vertical="center"/>
    </xf>
    <xf numFmtId="8" fontId="0" fillId="0" borderId="15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8" fontId="0" fillId="0" borderId="1" xfId="0" applyNumberFormat="1" applyBorder="1" applyAlignment="1">
      <alignment horizontal="right" vertical="center"/>
    </xf>
    <xf numFmtId="8" fontId="0" fillId="0" borderId="24" xfId="0" applyNumberFormat="1" applyBorder="1" applyAlignment="1">
      <alignment horizontal="right" vertical="center"/>
    </xf>
    <xf numFmtId="8" fontId="0" fillId="0" borderId="25" xfId="0" applyNumberFormat="1" applyBorder="1" applyAlignment="1">
      <alignment horizontal="right" vertical="center"/>
    </xf>
    <xf numFmtId="8" fontId="0" fillId="0" borderId="28" xfId="0" applyNumberFormat="1" applyBorder="1" applyAlignment="1">
      <alignment horizontal="right" vertical="center"/>
    </xf>
    <xf numFmtId="8" fontId="0" fillId="0" borderId="0" xfId="0" applyNumberFormat="1" applyAlignment="1">
      <alignment horizontal="center" vertical="center"/>
    </xf>
    <xf numFmtId="8" fontId="3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8" fontId="0" fillId="0" borderId="38" xfId="0" applyNumberFormat="1" applyBorder="1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vertical="center"/>
    </xf>
    <xf numFmtId="8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46" xfId="0" applyBorder="1" applyAlignment="1">
      <alignment horizontal="center" vertical="center"/>
    </xf>
    <xf numFmtId="8" fontId="0" fillId="0" borderId="47" xfId="0" applyNumberFormat="1" applyBorder="1" applyAlignment="1">
      <alignment horizontal="right" vertical="center"/>
    </xf>
    <xf numFmtId="8" fontId="0" fillId="0" borderId="48" xfId="0" applyNumberFormat="1" applyBorder="1" applyAlignment="1">
      <alignment horizontal="right" vertical="center"/>
    </xf>
    <xf numFmtId="8" fontId="0" fillId="0" borderId="49" xfId="0" applyNumberFormat="1" applyBorder="1" applyAlignment="1">
      <alignment horizontal="right" vertical="center"/>
    </xf>
    <xf numFmtId="8" fontId="0" fillId="0" borderId="46" xfId="0" applyNumberFormat="1" applyBorder="1" applyAlignment="1">
      <alignment horizontal="right" vertical="center"/>
    </xf>
    <xf numFmtId="8" fontId="0" fillId="0" borderId="50" xfId="0" applyNumberFormat="1" applyBorder="1" applyAlignment="1">
      <alignment horizontal="right" vertical="center"/>
    </xf>
    <xf numFmtId="8" fontId="0" fillId="0" borderId="9" xfId="0" applyNumberFormat="1" applyBorder="1" applyAlignment="1">
      <alignment horizontal="right" vertical="center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8" fontId="0" fillId="0" borderId="29" xfId="0" applyNumberForma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8" fontId="0" fillId="0" borderId="52" xfId="0" applyNumberFormat="1" applyBorder="1" applyAlignment="1">
      <alignment horizontal="right" vertical="center"/>
    </xf>
    <xf numFmtId="8" fontId="0" fillId="0" borderId="45" xfId="0" applyNumberFormat="1" applyBorder="1" applyAlignment="1">
      <alignment horizontal="right" vertical="center"/>
    </xf>
    <xf numFmtId="8" fontId="0" fillId="0" borderId="51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6" fillId="0" borderId="2" xfId="0" applyNumberFormat="1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2783-37C3-488B-A312-FC92B32835A3}">
  <dimension ref="A1:H26"/>
  <sheetViews>
    <sheetView workbookViewId="0">
      <selection activeCell="B6" sqref="B6"/>
    </sheetView>
  </sheetViews>
  <sheetFormatPr baseColWidth="10" defaultRowHeight="14.6" x14ac:dyDescent="0.4"/>
  <cols>
    <col min="1" max="1" width="29.84375" style="15" customWidth="1"/>
    <col min="2" max="2" width="14.53515625" style="15" customWidth="1"/>
    <col min="3" max="3" width="11.07421875" style="15"/>
    <col min="4" max="4" width="18.07421875" style="15" customWidth="1"/>
    <col min="5" max="5" width="13.3046875" style="15" customWidth="1"/>
    <col min="6" max="6" width="11.07421875" style="15"/>
    <col min="7" max="7" width="22.15234375" style="15" bestFit="1" customWidth="1"/>
    <col min="8" max="16384" width="11.07421875" style="15"/>
  </cols>
  <sheetData>
    <row r="1" spans="1:8" x14ac:dyDescent="0.4">
      <c r="A1" s="17" t="s">
        <v>11</v>
      </c>
      <c r="G1" s="17" t="s">
        <v>14</v>
      </c>
    </row>
    <row r="2" spans="1:8" x14ac:dyDescent="0.4">
      <c r="A2" s="15" t="s">
        <v>12</v>
      </c>
      <c r="B2" s="29">
        <v>2390</v>
      </c>
      <c r="G2" s="15" t="s">
        <v>15</v>
      </c>
      <c r="H2" s="29">
        <v>1500</v>
      </c>
    </row>
    <row r="3" spans="1:8" x14ac:dyDescent="0.4">
      <c r="A3" s="15" t="s">
        <v>75</v>
      </c>
      <c r="B3" s="29">
        <v>1650</v>
      </c>
      <c r="G3" s="15" t="s">
        <v>16</v>
      </c>
      <c r="H3" s="29">
        <v>5040</v>
      </c>
    </row>
    <row r="4" spans="1:8" x14ac:dyDescent="0.4">
      <c r="A4" s="15" t="s">
        <v>76</v>
      </c>
      <c r="B4" s="29">
        <v>12000</v>
      </c>
      <c r="G4" s="15" t="s">
        <v>66</v>
      </c>
      <c r="H4" s="30">
        <v>12000</v>
      </c>
    </row>
    <row r="5" spans="1:8" x14ac:dyDescent="0.4">
      <c r="A5" s="15" t="s">
        <v>13</v>
      </c>
      <c r="B5" s="30">
        <v>2500</v>
      </c>
      <c r="G5" s="15" t="s">
        <v>68</v>
      </c>
      <c r="H5" s="15">
        <f>SUM(H2:H4)</f>
        <v>18540</v>
      </c>
    </row>
    <row r="6" spans="1:8" x14ac:dyDescent="0.4">
      <c r="B6" s="15">
        <f>SUM(B2:B5)</f>
        <v>18540</v>
      </c>
    </row>
    <row r="8" spans="1:8" x14ac:dyDescent="0.4">
      <c r="G8" s="17" t="s">
        <v>19</v>
      </c>
      <c r="H8" s="17"/>
    </row>
    <row r="9" spans="1:8" x14ac:dyDescent="0.4">
      <c r="A9" s="17" t="s">
        <v>17</v>
      </c>
      <c r="G9" s="29" t="s">
        <v>60</v>
      </c>
      <c r="H9" s="29">
        <v>5000</v>
      </c>
    </row>
    <row r="10" spans="1:8" x14ac:dyDescent="0.4">
      <c r="A10" s="17" t="s">
        <v>18</v>
      </c>
      <c r="B10" s="17"/>
      <c r="C10" s="17"/>
      <c r="G10" s="29" t="s">
        <v>73</v>
      </c>
      <c r="H10" s="29">
        <v>3500</v>
      </c>
    </row>
    <row r="11" spans="1:8" x14ac:dyDescent="0.4">
      <c r="A11" s="29" t="s">
        <v>23</v>
      </c>
      <c r="B11" s="29">
        <v>3000</v>
      </c>
      <c r="G11" s="29" t="s">
        <v>74</v>
      </c>
      <c r="H11" s="29">
        <v>7000</v>
      </c>
    </row>
    <row r="12" spans="1:8" x14ac:dyDescent="0.4">
      <c r="A12" s="29" t="s">
        <v>24</v>
      </c>
      <c r="B12" s="29">
        <v>4500</v>
      </c>
      <c r="G12" s="29" t="s">
        <v>20</v>
      </c>
      <c r="H12" s="29">
        <v>9000</v>
      </c>
    </row>
    <row r="13" spans="1:8" x14ac:dyDescent="0.4">
      <c r="A13" s="29" t="s">
        <v>25</v>
      </c>
      <c r="B13" s="29">
        <v>4000</v>
      </c>
      <c r="G13" s="29" t="s">
        <v>21</v>
      </c>
      <c r="H13" s="29">
        <v>4000</v>
      </c>
    </row>
    <row r="14" spans="1:8" x14ac:dyDescent="0.4">
      <c r="A14" s="29" t="s">
        <v>26</v>
      </c>
      <c r="B14" s="29">
        <v>5000</v>
      </c>
      <c r="G14" s="29" t="s">
        <v>22</v>
      </c>
      <c r="H14" s="29">
        <v>5000</v>
      </c>
    </row>
    <row r="15" spans="1:8" x14ac:dyDescent="0.4">
      <c r="A15" s="29" t="s">
        <v>27</v>
      </c>
      <c r="B15" s="29">
        <v>4500</v>
      </c>
      <c r="G15" s="29" t="s">
        <v>77</v>
      </c>
      <c r="H15" s="30">
        <v>4500</v>
      </c>
    </row>
    <row r="16" spans="1:8" x14ac:dyDescent="0.4">
      <c r="A16" s="29" t="s">
        <v>59</v>
      </c>
      <c r="B16" s="29">
        <v>5500</v>
      </c>
      <c r="H16" s="15">
        <f>SUM(H9:H15)</f>
        <v>38000</v>
      </c>
    </row>
    <row r="20" spans="1:7" x14ac:dyDescent="0.4">
      <c r="A20" s="16" t="s">
        <v>28</v>
      </c>
    </row>
    <row r="21" spans="1:7" x14ac:dyDescent="0.4">
      <c r="A21" s="15" t="s">
        <v>29</v>
      </c>
      <c r="C21" s="31">
        <v>0.4</v>
      </c>
    </row>
    <row r="22" spans="1:7" x14ac:dyDescent="0.4">
      <c r="A22" s="15" t="s">
        <v>78</v>
      </c>
    </row>
    <row r="23" spans="1:7" x14ac:dyDescent="0.4">
      <c r="A23" s="15" t="s">
        <v>32</v>
      </c>
      <c r="C23" s="32">
        <v>30</v>
      </c>
      <c r="D23" s="15" t="s">
        <v>30</v>
      </c>
      <c r="E23" s="33">
        <f>+C23/30</f>
        <v>1</v>
      </c>
      <c r="F23" s="15" t="s">
        <v>31</v>
      </c>
      <c r="G23" s="15" t="s">
        <v>48</v>
      </c>
    </row>
    <row r="24" spans="1:7" x14ac:dyDescent="0.4">
      <c r="A24" s="15" t="s">
        <v>33</v>
      </c>
      <c r="C24" s="31">
        <v>0.2</v>
      </c>
      <c r="D24" s="15" t="s">
        <v>79</v>
      </c>
      <c r="E24" s="33"/>
      <c r="F24" s="15" t="s">
        <v>80</v>
      </c>
    </row>
    <row r="25" spans="1:7" x14ac:dyDescent="0.4">
      <c r="A25" s="15" t="s">
        <v>34</v>
      </c>
      <c r="B25" s="15">
        <v>400</v>
      </c>
      <c r="C25" s="15" t="s">
        <v>81</v>
      </c>
      <c r="D25" s="15" t="s">
        <v>82</v>
      </c>
    </row>
    <row r="26" spans="1:7" x14ac:dyDescent="0.4">
      <c r="A26" s="15" t="s">
        <v>35</v>
      </c>
      <c r="B26" s="15">
        <v>500</v>
      </c>
      <c r="C26" s="74" t="s">
        <v>83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9F3D-D160-4218-BCCB-DB73E136ED29}">
  <dimension ref="A1:J14"/>
  <sheetViews>
    <sheetView workbookViewId="0">
      <selection activeCell="B3" sqref="B3:G3"/>
    </sheetView>
  </sheetViews>
  <sheetFormatPr baseColWidth="10" defaultRowHeight="14.6" x14ac:dyDescent="0.4"/>
  <cols>
    <col min="1" max="1" width="30.3046875" style="2" customWidth="1"/>
    <col min="2" max="8" width="12.07421875" style="2" customWidth="1"/>
    <col min="9" max="16384" width="11.07421875" style="2"/>
  </cols>
  <sheetData>
    <row r="1" spans="1:10" ht="33" customHeight="1" thickBot="1" x14ac:dyDescent="0.45">
      <c r="A1" s="89" t="s">
        <v>36</v>
      </c>
      <c r="B1" s="89"/>
      <c r="C1" s="89"/>
      <c r="D1" s="89"/>
      <c r="E1" s="89"/>
      <c r="F1" s="89"/>
      <c r="G1" s="89"/>
      <c r="H1" s="89"/>
    </row>
    <row r="2" spans="1:10" x14ac:dyDescent="0.4">
      <c r="A2" s="93" t="s">
        <v>0</v>
      </c>
      <c r="B2" s="90" t="s">
        <v>1</v>
      </c>
      <c r="C2" s="91"/>
      <c r="D2" s="91"/>
      <c r="E2" s="91"/>
      <c r="F2" s="91"/>
      <c r="G2" s="92"/>
      <c r="H2" s="93" t="s">
        <v>2</v>
      </c>
    </row>
    <row r="3" spans="1:10" ht="15" thickBot="1" x14ac:dyDescent="0.45">
      <c r="A3" s="94"/>
      <c r="B3" s="3" t="s">
        <v>60</v>
      </c>
      <c r="C3" s="4" t="s">
        <v>73</v>
      </c>
      <c r="D3" s="67" t="s">
        <v>74</v>
      </c>
      <c r="E3" s="67" t="s">
        <v>20</v>
      </c>
      <c r="F3" s="67" t="s">
        <v>21</v>
      </c>
      <c r="G3" s="5" t="s">
        <v>22</v>
      </c>
      <c r="H3" s="94"/>
    </row>
    <row r="4" spans="1:10" ht="24.55" customHeight="1" thickBot="1" x14ac:dyDescent="0.45">
      <c r="A4" s="86" t="s">
        <v>7</v>
      </c>
      <c r="B4" s="95"/>
      <c r="C4" s="95"/>
      <c r="D4" s="95"/>
      <c r="E4" s="95"/>
      <c r="F4" s="95"/>
      <c r="G4" s="95"/>
      <c r="H4" s="88"/>
    </row>
    <row r="5" spans="1:10" x14ac:dyDescent="0.4">
      <c r="A5" s="10" t="s">
        <v>3</v>
      </c>
      <c r="B5" s="18">
        <f>VLOOKUP(B3,Datos!$G$9:$H$15,2,FALSE)</f>
        <v>5000</v>
      </c>
      <c r="C5" s="19">
        <f>VLOOKUP(C3,Datos!$G$9:$H$15,2,FALSE)</f>
        <v>3500</v>
      </c>
      <c r="D5" s="68">
        <f>VLOOKUP(D3,Datos!$G$9:$H$15,2,FALSE)</f>
        <v>7000</v>
      </c>
      <c r="E5" s="68">
        <f>VLOOKUP(E3,Datos!$G$9:$H$15,2,FALSE)</f>
        <v>9000</v>
      </c>
      <c r="F5" s="68">
        <f>VLOOKUP(F3,Datos!$G$9:$H$15,2,FALSE)</f>
        <v>4000</v>
      </c>
      <c r="G5" s="20">
        <f>VLOOKUP(G3,Datos!$G$9:$H$15,2,FALSE)</f>
        <v>5000</v>
      </c>
      <c r="H5" s="21">
        <f>SUM(B5:G5)</f>
        <v>33500</v>
      </c>
    </row>
    <row r="6" spans="1:10" ht="15" thickBot="1" x14ac:dyDescent="0.45">
      <c r="A6" s="12" t="s">
        <v>4</v>
      </c>
      <c r="B6" s="22">
        <f>-B5*(1-Datos!$C$21)</f>
        <v>-3000</v>
      </c>
      <c r="C6" s="23">
        <f>-C5*(1-Datos!$C$21)</f>
        <v>-2100</v>
      </c>
      <c r="D6" s="69">
        <f>-D5*(1-Datos!$C$21)</f>
        <v>-4200</v>
      </c>
      <c r="E6" s="69">
        <f>-E5*(1-Datos!$C$21)</f>
        <v>-5400</v>
      </c>
      <c r="F6" s="69">
        <f>-F5*(1-Datos!$C$21)</f>
        <v>-2400</v>
      </c>
      <c r="G6" s="24">
        <f>-G5*(1-Datos!$C$21)</f>
        <v>-3000</v>
      </c>
      <c r="H6" s="25">
        <f>SUM(B6:G6)</f>
        <v>-20100</v>
      </c>
    </row>
    <row r="7" spans="1:10" ht="27" customHeight="1" thickBot="1" x14ac:dyDescent="0.45">
      <c r="A7" s="13" t="s">
        <v>5</v>
      </c>
      <c r="B7" s="26">
        <f>SUM(B5:B6)</f>
        <v>2000</v>
      </c>
      <c r="C7" s="27">
        <f>SUM(C5:C6)</f>
        <v>1400</v>
      </c>
      <c r="D7" s="27">
        <f t="shared" ref="D7:F7" si="0">SUM(D5:D6)</f>
        <v>2800</v>
      </c>
      <c r="E7" s="27">
        <f t="shared" si="0"/>
        <v>3600</v>
      </c>
      <c r="F7" s="27">
        <f t="shared" si="0"/>
        <v>1600</v>
      </c>
      <c r="G7" s="28">
        <f>SUM(G5:G6)</f>
        <v>2000</v>
      </c>
      <c r="H7" s="28">
        <f>SUM(B7:G7)</f>
        <v>13400</v>
      </c>
    </row>
    <row r="8" spans="1:10" ht="24.55" customHeight="1" thickBot="1" x14ac:dyDescent="0.45">
      <c r="A8" s="86" t="s">
        <v>8</v>
      </c>
      <c r="B8" s="87"/>
      <c r="C8" s="87"/>
      <c r="D8" s="87"/>
      <c r="E8" s="87"/>
      <c r="F8" s="87"/>
      <c r="G8" s="87"/>
      <c r="H8" s="88"/>
    </row>
    <row r="9" spans="1:10" x14ac:dyDescent="0.4">
      <c r="A9" s="10" t="s">
        <v>9</v>
      </c>
      <c r="B9" s="18">
        <f>-Datos!$B$25</f>
        <v>-400</v>
      </c>
      <c r="C9" s="19">
        <f>-Datos!$B$25</f>
        <v>-400</v>
      </c>
      <c r="D9" s="68">
        <f>-Datos!$B$25</f>
        <v>-400</v>
      </c>
      <c r="E9" s="68">
        <f>-Datos!$B$25</f>
        <v>-400</v>
      </c>
      <c r="F9" s="68">
        <f>-Datos!$B$25</f>
        <v>-400</v>
      </c>
      <c r="G9" s="20">
        <f>-Datos!$B$25</f>
        <v>-400</v>
      </c>
      <c r="H9" s="21">
        <f>SUM(B9:G9)</f>
        <v>-2400</v>
      </c>
    </row>
    <row r="10" spans="1:10" ht="15" thickBot="1" x14ac:dyDescent="0.45">
      <c r="A10" s="12" t="s">
        <v>6</v>
      </c>
      <c r="B10" s="38">
        <f t="shared" ref="B10:G10" si="1">-$B$13/$B$14/12</f>
        <v>-100</v>
      </c>
      <c r="C10" s="39">
        <f t="shared" si="1"/>
        <v>-100</v>
      </c>
      <c r="D10" s="71">
        <f t="shared" si="1"/>
        <v>-100</v>
      </c>
      <c r="E10" s="71">
        <f t="shared" si="1"/>
        <v>-100</v>
      </c>
      <c r="F10" s="71">
        <f t="shared" si="1"/>
        <v>-100</v>
      </c>
      <c r="G10" s="40">
        <f t="shared" si="1"/>
        <v>-100</v>
      </c>
      <c r="H10" s="25">
        <f>SUM(B10:G10)</f>
        <v>-600</v>
      </c>
      <c r="J10" s="2" t="s">
        <v>37</v>
      </c>
    </row>
    <row r="11" spans="1:10" ht="26.15" customHeight="1" thickBot="1" x14ac:dyDescent="0.45">
      <c r="A11" s="13" t="s">
        <v>10</v>
      </c>
      <c r="B11" s="34">
        <f>SUM(B9:B10)+B7</f>
        <v>1500</v>
      </c>
      <c r="C11" s="35">
        <f t="shared" ref="C11:H11" si="2">SUM(C9:C10)+C7</f>
        <v>900</v>
      </c>
      <c r="D11" s="35">
        <f t="shared" ref="D11" si="3">SUM(D9:D10)+D7</f>
        <v>2300</v>
      </c>
      <c r="E11" s="35">
        <f t="shared" ref="E11" si="4">SUM(E9:E10)+E7</f>
        <v>3100</v>
      </c>
      <c r="F11" s="35">
        <f t="shared" ref="F11" si="5">SUM(F9:F10)+F7</f>
        <v>1100</v>
      </c>
      <c r="G11" s="36">
        <f t="shared" si="2"/>
        <v>1500</v>
      </c>
      <c r="H11" s="28">
        <f t="shared" si="2"/>
        <v>10400</v>
      </c>
    </row>
    <row r="13" spans="1:10" x14ac:dyDescent="0.4">
      <c r="A13" s="75" t="s">
        <v>84</v>
      </c>
      <c r="B13" s="58">
        <f>+Datos!B4</f>
        <v>12000</v>
      </c>
    </row>
    <row r="14" spans="1:10" x14ac:dyDescent="0.4">
      <c r="A14" s="75" t="s">
        <v>86</v>
      </c>
      <c r="B14" s="2">
        <v>10</v>
      </c>
      <c r="C14" s="6" t="s">
        <v>85</v>
      </c>
    </row>
  </sheetData>
  <mergeCells count="6">
    <mergeCell ref="A8:H8"/>
    <mergeCell ref="A1:H1"/>
    <mergeCell ref="B2:G2"/>
    <mergeCell ref="A2:A3"/>
    <mergeCell ref="H2:H3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233-A870-4EDF-A5BF-4A28655E22C8}">
  <dimension ref="A1:U33"/>
  <sheetViews>
    <sheetView topLeftCell="A14" zoomScale="78" workbookViewId="0">
      <selection activeCell="A30" sqref="A30"/>
    </sheetView>
  </sheetViews>
  <sheetFormatPr baseColWidth="10" defaultRowHeight="14.6" x14ac:dyDescent="0.4"/>
  <cols>
    <col min="1" max="1" width="66.3046875" style="2" bestFit="1" customWidth="1"/>
    <col min="2" max="9" width="12.07421875" style="2" customWidth="1"/>
    <col min="10" max="11" width="11.07421875" style="2"/>
    <col min="12" max="12" width="23.53515625" style="2" customWidth="1"/>
    <col min="13" max="13" width="23.61328125" style="2" customWidth="1"/>
    <col min="14" max="14" width="10.15234375" style="2" customWidth="1"/>
    <col min="15" max="16" width="8.23046875" style="2" customWidth="1"/>
    <col min="17" max="17" width="8.53515625" style="2" customWidth="1"/>
    <col min="18" max="18" width="8.23046875" style="2" customWidth="1"/>
    <col min="19" max="16384" width="11.07421875" style="2"/>
  </cols>
  <sheetData>
    <row r="1" spans="1:21" ht="33" customHeight="1" thickBot="1" x14ac:dyDescent="0.45">
      <c r="A1" s="89" t="s">
        <v>38</v>
      </c>
      <c r="B1" s="89"/>
      <c r="C1" s="89"/>
      <c r="D1" s="89"/>
      <c r="E1" s="89"/>
      <c r="F1" s="89"/>
      <c r="G1" s="89"/>
      <c r="H1" s="89"/>
      <c r="I1" s="89"/>
      <c r="M1" s="96" t="s">
        <v>39</v>
      </c>
      <c r="N1" s="97"/>
      <c r="O1" s="97"/>
      <c r="P1" s="97"/>
      <c r="Q1" s="97"/>
      <c r="R1" s="98"/>
    </row>
    <row r="2" spans="1:21" ht="15" thickBot="1" x14ac:dyDescent="0.45">
      <c r="A2" s="93" t="s">
        <v>0</v>
      </c>
      <c r="B2" s="90" t="s">
        <v>1</v>
      </c>
      <c r="C2" s="91"/>
      <c r="D2" s="91"/>
      <c r="E2" s="91"/>
      <c r="F2" s="91"/>
      <c r="G2" s="92"/>
      <c r="H2" s="93" t="s">
        <v>2</v>
      </c>
      <c r="I2" s="93" t="s">
        <v>49</v>
      </c>
      <c r="N2" s="41" t="s">
        <v>42</v>
      </c>
      <c r="O2" s="42" t="s">
        <v>41</v>
      </c>
      <c r="P2" s="47" t="s">
        <v>40</v>
      </c>
      <c r="Q2" s="42" t="s">
        <v>45</v>
      </c>
      <c r="R2" s="43" t="s">
        <v>46</v>
      </c>
    </row>
    <row r="3" spans="1:21" ht="15" thickBot="1" x14ac:dyDescent="0.45">
      <c r="A3" s="94"/>
      <c r="B3" s="3" t="s">
        <v>60</v>
      </c>
      <c r="C3" s="4" t="s">
        <v>73</v>
      </c>
      <c r="D3" s="67" t="s">
        <v>74</v>
      </c>
      <c r="E3" s="67" t="s">
        <v>20</v>
      </c>
      <c r="F3" s="67" t="s">
        <v>21</v>
      </c>
      <c r="G3" s="5" t="s">
        <v>22</v>
      </c>
      <c r="H3" s="94"/>
      <c r="I3" s="94"/>
      <c r="M3" s="1" t="s">
        <v>17</v>
      </c>
      <c r="N3" s="14"/>
      <c r="O3" s="7"/>
      <c r="P3" s="50">
        <v>0.7</v>
      </c>
      <c r="Q3" s="82">
        <v>0.3</v>
      </c>
      <c r="R3" s="8"/>
    </row>
    <row r="4" spans="1:21" ht="24.55" customHeight="1" thickBot="1" x14ac:dyDescent="0.45">
      <c r="A4" s="86" t="s">
        <v>7</v>
      </c>
      <c r="B4" s="95"/>
      <c r="C4" s="95"/>
      <c r="D4" s="95"/>
      <c r="E4" s="95"/>
      <c r="F4" s="95"/>
      <c r="G4" s="95"/>
      <c r="H4" s="95"/>
      <c r="I4" s="88"/>
      <c r="M4" s="45" t="s">
        <v>43</v>
      </c>
      <c r="N4" s="44"/>
      <c r="O4" s="51">
        <v>0.2</v>
      </c>
      <c r="P4" s="48"/>
      <c r="Q4" s="51">
        <v>0.8</v>
      </c>
      <c r="R4" s="9"/>
      <c r="T4" s="2" t="s">
        <v>87</v>
      </c>
    </row>
    <row r="5" spans="1:21" ht="15" thickBot="1" x14ac:dyDescent="0.45">
      <c r="A5" s="10" t="s">
        <v>12</v>
      </c>
      <c r="B5" s="18">
        <f>+Datos!B2</f>
        <v>2390</v>
      </c>
      <c r="C5" s="19"/>
      <c r="D5" s="68"/>
      <c r="E5" s="68"/>
      <c r="F5" s="68"/>
      <c r="G5" s="20"/>
      <c r="H5" s="21">
        <f>SUM(B5:G5)</f>
        <v>2390</v>
      </c>
      <c r="I5" s="21"/>
      <c r="M5" s="46" t="s">
        <v>44</v>
      </c>
      <c r="N5" s="3"/>
      <c r="O5" s="4" t="s">
        <v>41</v>
      </c>
      <c r="P5" s="49"/>
      <c r="Q5" s="4"/>
      <c r="R5" s="5"/>
      <c r="T5" s="2" t="s">
        <v>23</v>
      </c>
      <c r="U5" s="58">
        <f>+N19</f>
        <v>1800</v>
      </c>
    </row>
    <row r="6" spans="1:21" x14ac:dyDescent="0.4">
      <c r="A6" s="77" t="s">
        <v>52</v>
      </c>
      <c r="B6" s="55"/>
      <c r="C6" s="37"/>
      <c r="D6" s="73"/>
      <c r="E6" s="73"/>
      <c r="F6" s="73"/>
      <c r="G6" s="56"/>
      <c r="H6" s="57">
        <f t="shared" ref="H6:H13" si="0">SUM(B6:G6)</f>
        <v>0</v>
      </c>
      <c r="I6" s="57"/>
      <c r="P6" s="2" t="s">
        <v>47</v>
      </c>
      <c r="T6" s="2" t="s">
        <v>24</v>
      </c>
      <c r="U6" s="58">
        <f t="shared" ref="U6:U16" si="1">+N20</f>
        <v>2700</v>
      </c>
    </row>
    <row r="7" spans="1:21" ht="16.3" customHeight="1" x14ac:dyDescent="0.4">
      <c r="A7" s="11" t="s">
        <v>60</v>
      </c>
      <c r="B7" s="55">
        <f>IF(B$3=$A7,VLOOKUP(B$3,Datos!$G$9:$H$15,2,FALSE)*0.7,IF($A7=A$3,VLOOKUP($A7,Datos!$G$9:$H$15,2,FALSE)*0.3,0))</f>
        <v>3500</v>
      </c>
      <c r="C7" s="37">
        <f>IF(C$3=$A7,VLOOKUP(C$3,Datos!$G$9:$H$15,2,FALSE)*0.7,IF($A7=B$3,VLOOKUP($A7,Datos!$G$9:$H$15,2,FALSE)*0.3,0))</f>
        <v>1500</v>
      </c>
      <c r="D7" s="73">
        <f>IF(D$3=$A7,VLOOKUP(D$3,Datos!$G$9:$H$15,2,FALSE)*0.7,IF($A7=C$3,VLOOKUP($A7,Datos!$G$9:$H$15,2,FALSE)*0.3,0))</f>
        <v>0</v>
      </c>
      <c r="E7" s="73">
        <f>IF(E$3=$A7,VLOOKUP(E$3,Datos!$G$9:$H$15,2,FALSE)*0.7,IF($A7=D$3,VLOOKUP($A7,Datos!$G$9:$H$15,2,FALSE)*0.3,0))</f>
        <v>0</v>
      </c>
      <c r="F7" s="73">
        <f>IF(F$3=$A7,VLOOKUP(F$3,Datos!$G$9:$H$15,2,FALSE)*0.7,IF($A7=E$3,VLOOKUP($A7,Datos!$G$9:$H$15,2,FALSE)*0.3,0))</f>
        <v>0</v>
      </c>
      <c r="G7" s="56">
        <f>IF(G$3=$A7,VLOOKUP(G$3,Datos!$G$9:$H$15,2,FALSE)*0.7,IF($A7=F$3,VLOOKUP($A7,Datos!$G$9:$H$15,2,FALSE)*0.3,0))</f>
        <v>0</v>
      </c>
      <c r="H7" s="57">
        <f t="shared" si="0"/>
        <v>5000</v>
      </c>
      <c r="I7" s="57"/>
      <c r="O7" s="2" t="s">
        <v>27</v>
      </c>
      <c r="P7" s="2" t="s">
        <v>59</v>
      </c>
      <c r="Q7" s="2" t="s">
        <v>60</v>
      </c>
      <c r="T7" s="2" t="s">
        <v>25</v>
      </c>
      <c r="U7" s="58">
        <f t="shared" si="1"/>
        <v>2400</v>
      </c>
    </row>
    <row r="8" spans="1:21" ht="16.3" customHeight="1" x14ac:dyDescent="0.4">
      <c r="A8" s="11" t="s">
        <v>73</v>
      </c>
      <c r="B8" s="22">
        <f>IF(B$3=$A8,VLOOKUP(B$3,Datos!$G$9:$H$15,2,FALSE)*0.7,IF($A8=A$3,VLOOKUP($A8,Datos!$G$9:$H$15,2,FALSE)*0.3,0))</f>
        <v>0</v>
      </c>
      <c r="C8" s="23">
        <f>IF(C$3=$A8,VLOOKUP(C$3,Datos!$G$9:$H$15,2,FALSE)*0.7,IF($A8=B$3,VLOOKUP($A8,Datos!$G$9:$H$15,2,FALSE)*0.3,0))</f>
        <v>2450</v>
      </c>
      <c r="D8" s="73">
        <f>IF(D$3=$A8,VLOOKUP(D$3,Datos!$G$9:$H$15,2,FALSE)*0.7,IF($A8=C$3,VLOOKUP($A8,Datos!$G$9:$H$15,2,FALSE)*0.3,0))</f>
        <v>1050</v>
      </c>
      <c r="E8" s="73">
        <f>IF(E$3=$A8,VLOOKUP(E$3,Datos!$G$9:$H$15,2,FALSE)*0.7,IF($A8=D$3,VLOOKUP($A8,Datos!$G$9:$H$15,2,FALSE)*0.3,0))</f>
        <v>0</v>
      </c>
      <c r="F8" s="73">
        <f>IF(F$3=$A8,VLOOKUP(F$3,Datos!$G$9:$H$15,2,FALSE)*0.7,IF($A8=E$3,VLOOKUP($A8,Datos!$G$9:$H$15,2,FALSE)*0.3,0))</f>
        <v>0</v>
      </c>
      <c r="G8" s="56">
        <f>IF(G$3=$A8,VLOOKUP(G$3,Datos!$G$9:$H$15,2,FALSE)*0.7,IF($A8=F$3,VLOOKUP($A8,Datos!$G$9:$H$15,2,FALSE)*0.3,0))</f>
        <v>0</v>
      </c>
      <c r="H8" s="57">
        <f t="shared" si="0"/>
        <v>3500</v>
      </c>
      <c r="I8" s="57"/>
      <c r="J8" s="6" t="s">
        <v>53</v>
      </c>
      <c r="M8" s="2" t="s">
        <v>56</v>
      </c>
      <c r="N8" s="52"/>
      <c r="O8" s="52" t="s">
        <v>59</v>
      </c>
      <c r="P8" s="53" t="s">
        <v>60</v>
      </c>
      <c r="Q8" s="52" t="s">
        <v>73</v>
      </c>
      <c r="R8" s="52"/>
      <c r="T8" s="2" t="s">
        <v>26</v>
      </c>
      <c r="U8" s="58">
        <f t="shared" si="1"/>
        <v>3000</v>
      </c>
    </row>
    <row r="9" spans="1:21" ht="16.3" customHeight="1" x14ac:dyDescent="0.4">
      <c r="A9" s="12" t="s">
        <v>74</v>
      </c>
      <c r="B9" s="22">
        <f>IF(B$3=$A9,VLOOKUP(B$3,Datos!$G$9:$H$15,2,FALSE)*0.7,IF($A9=A$3,VLOOKUP($A9,Datos!$G$9:$H$15,2,FALSE)*0.3,0))</f>
        <v>0</v>
      </c>
      <c r="C9" s="23">
        <f>IF(C$3=$A9,VLOOKUP(C$3,Datos!$G$9:$H$15,2,FALSE)*0.7,IF($A9=B$3,VLOOKUP($A9,Datos!$G$9:$H$15,2,FALSE)*0.3,0))</f>
        <v>0</v>
      </c>
      <c r="D9" s="69">
        <f>IF(D$3=$A9,VLOOKUP(D$3,Datos!$G$9:$H$15,2,FALSE)*0.7,IF($A9=C$3,VLOOKUP($A9,Datos!$G$9:$H$15,2,FALSE)*0.3,0))</f>
        <v>4900</v>
      </c>
      <c r="E9" s="69">
        <f>IF(E$3=$A9,VLOOKUP(E$3,Datos!$G$9:$H$15,2,FALSE)*0.7,IF($A9=D$3,VLOOKUP($A9,Datos!$G$9:$H$15,2,FALSE)*0.3,0))</f>
        <v>2100</v>
      </c>
      <c r="F9" s="69">
        <f>IF(F$3=$A9,VLOOKUP(F$3,Datos!$G$9:$H$15,2,FALSE)*0.7,IF($A9=E$3,VLOOKUP($A9,Datos!$G$9:$H$15,2,FALSE)*0.3,0))</f>
        <v>0</v>
      </c>
      <c r="G9" s="24">
        <f>IF(G$3=$A9,VLOOKUP(G$3,Datos!$G$9:$H$15,2,FALSE)*0.7,IF($A9=F$3,VLOOKUP($A9,Datos!$G$9:$H$15,2,FALSE)*0.3,0))</f>
        <v>0</v>
      </c>
      <c r="H9" s="25">
        <f t="shared" si="0"/>
        <v>7000</v>
      </c>
      <c r="I9" s="25"/>
      <c r="M9" s="2" t="s">
        <v>57</v>
      </c>
      <c r="N9" s="52"/>
      <c r="O9" s="52" t="s">
        <v>60</v>
      </c>
      <c r="P9" s="53" t="s">
        <v>73</v>
      </c>
      <c r="Q9" s="52" t="s">
        <v>74</v>
      </c>
      <c r="R9" s="52"/>
      <c r="T9" s="2" t="s">
        <v>27</v>
      </c>
      <c r="U9" s="58">
        <f t="shared" si="1"/>
        <v>2700</v>
      </c>
    </row>
    <row r="10" spans="1:21" ht="16.3" customHeight="1" x14ac:dyDescent="0.4">
      <c r="A10" s="12" t="s">
        <v>20</v>
      </c>
      <c r="B10" s="22">
        <f>IF(B$3=$A10,VLOOKUP(B$3,Datos!$G$9:$H$15,2,FALSE)*0.7,IF($A10=A$3,VLOOKUP($A10,Datos!$G$9:$H$15,2,FALSE)*0.3,0))</f>
        <v>0</v>
      </c>
      <c r="C10" s="23">
        <f>IF(C$3=$A10,VLOOKUP(C$3,Datos!$G$9:$H$15,2,FALSE)*0.7,IF($A10=B$3,VLOOKUP($A10,Datos!$G$9:$H$15,2,FALSE)*0.3,0))</f>
        <v>0</v>
      </c>
      <c r="D10" s="69">
        <f>IF(D$3=$A10,VLOOKUP(D$3,Datos!$G$9:$H$15,2,FALSE)*0.7,IF($A10=C$3,VLOOKUP($A10,Datos!$G$9:$H$15,2,FALSE)*0.3,0))</f>
        <v>0</v>
      </c>
      <c r="E10" s="69">
        <f>IF(E$3=$A10,VLOOKUP(E$3,Datos!$G$9:$H$15,2,FALSE)*0.7,IF($A10=D$3,VLOOKUP($A10,Datos!$G$9:$H$15,2,FALSE)*0.3,0))</f>
        <v>6300</v>
      </c>
      <c r="F10" s="69">
        <f>IF(F$3=$A10,VLOOKUP(F$3,Datos!$G$9:$H$15,2,FALSE)*0.7,IF($A10=E$3,VLOOKUP($A10,Datos!$G$9:$H$15,2,FALSE)*0.3,0))</f>
        <v>2700</v>
      </c>
      <c r="G10" s="24">
        <f>IF(G$3=$A10,VLOOKUP(G$3,Datos!$G$9:$H$15,2,FALSE)*0.7,IF($A10=F$3,VLOOKUP($A10,Datos!$G$9:$H$15,2,FALSE)*0.3,0))</f>
        <v>0</v>
      </c>
      <c r="H10" s="25">
        <f t="shared" si="0"/>
        <v>9000</v>
      </c>
      <c r="I10" s="25"/>
      <c r="M10" s="2" t="s">
        <v>88</v>
      </c>
      <c r="N10" s="52"/>
      <c r="O10" s="52" t="s">
        <v>73</v>
      </c>
      <c r="P10" s="53" t="s">
        <v>74</v>
      </c>
      <c r="Q10" s="52" t="s">
        <v>20</v>
      </c>
      <c r="R10" s="52"/>
      <c r="T10" s="2" t="s">
        <v>59</v>
      </c>
      <c r="U10" s="58">
        <f t="shared" si="1"/>
        <v>3300</v>
      </c>
    </row>
    <row r="11" spans="1:21" ht="16.3" customHeight="1" x14ac:dyDescent="0.4">
      <c r="A11" s="12" t="s">
        <v>21</v>
      </c>
      <c r="B11" s="22">
        <f>IF(B$3=$A11,VLOOKUP(B$3,Datos!$G$9:$H$15,2,FALSE)*0.7,IF($A11=A$3,VLOOKUP($A11,Datos!$G$9:$H$15,2,FALSE)*0.3,0))</f>
        <v>0</v>
      </c>
      <c r="C11" s="23">
        <f>IF(C$3=$A11,VLOOKUP(C$3,Datos!$G$9:$H$15,2,FALSE)*0.7,IF($A11=B$3,VLOOKUP($A11,Datos!$G$9:$H$15,2,FALSE)*0.3,0))</f>
        <v>0</v>
      </c>
      <c r="D11" s="69">
        <f>IF(D$3=$A11,VLOOKUP(D$3,Datos!$G$9:$H$15,2,FALSE)*0.7,IF($A11=C$3,VLOOKUP($A11,Datos!$G$9:$H$15,2,FALSE)*0.3,0))</f>
        <v>0</v>
      </c>
      <c r="E11" s="69">
        <f>IF(E$3=$A11,VLOOKUP(E$3,Datos!$G$9:$H$15,2,FALSE)*0.7,IF($A11=D$3,VLOOKUP($A11,Datos!$G$9:$H$15,2,FALSE)*0.3,0))</f>
        <v>0</v>
      </c>
      <c r="F11" s="69">
        <f>IF(F$3=$A11,VLOOKUP(F$3,Datos!$G$9:$H$15,2,FALSE)*0.7,IF($A11=E$3,VLOOKUP($A11,Datos!$G$9:$H$15,2,FALSE)*0.3,0))</f>
        <v>2800</v>
      </c>
      <c r="G11" s="24">
        <f>IF(G$3=$A11,VLOOKUP(G$3,Datos!$G$9:$H$15,2,FALSE)*0.7,IF($A11=F$3,VLOOKUP($A11,Datos!$G$9:$H$15,2,FALSE)*0.3,0))</f>
        <v>1200</v>
      </c>
      <c r="H11" s="25">
        <f t="shared" si="0"/>
        <v>4000</v>
      </c>
      <c r="I11" s="25"/>
      <c r="M11" s="2" t="s">
        <v>89</v>
      </c>
      <c r="N11" s="52"/>
      <c r="O11" s="52" t="s">
        <v>74</v>
      </c>
      <c r="P11" s="53" t="s">
        <v>20</v>
      </c>
      <c r="Q11" s="52" t="s">
        <v>21</v>
      </c>
      <c r="R11" s="52"/>
      <c r="T11" s="2" t="s">
        <v>60</v>
      </c>
      <c r="U11" s="58">
        <f t="shared" si="1"/>
        <v>3000</v>
      </c>
    </row>
    <row r="12" spans="1:21" ht="16.3" customHeight="1" x14ac:dyDescent="0.4">
      <c r="A12" s="11" t="s">
        <v>22</v>
      </c>
      <c r="B12" s="55">
        <f>IF(B$3=$A12,VLOOKUP(B$3,Datos!$G$9:$H$15,2,FALSE)*0.7,IF($A12=A$3,VLOOKUP($A12,Datos!$G$9:$H$15,2,FALSE)*0.3,0))</f>
        <v>0</v>
      </c>
      <c r="C12" s="37">
        <f>IF(C$3=$A12,VLOOKUP(C$3,Datos!$G$9:$H$15,2,FALSE)*0.7,IF($A12=B$3,VLOOKUP($A12,Datos!$G$9:$H$15,2,FALSE)*0.3,0))</f>
        <v>0</v>
      </c>
      <c r="D12" s="73">
        <f>IF(D$3=$A12,VLOOKUP(D$3,Datos!$G$9:$H$15,2,FALSE)*0.7,IF($A12=C$3,VLOOKUP($A12,Datos!$G$9:$H$15,2,FALSE)*0.3,0))</f>
        <v>0</v>
      </c>
      <c r="E12" s="73">
        <f>IF(E$3=$A12,VLOOKUP(E$3,Datos!$G$9:$H$15,2,FALSE)*0.7,IF($A12=D$3,VLOOKUP($A12,Datos!$G$9:$H$15,2,FALSE)*0.3,0))</f>
        <v>0</v>
      </c>
      <c r="F12" s="73">
        <f>IF(F$3=$A12,VLOOKUP(F$3,Datos!$G$9:$H$15,2,FALSE)*0.7,IF($A12=E$3,VLOOKUP($A12,Datos!$G$9:$H$15,2,FALSE)*0.3,0))</f>
        <v>0</v>
      </c>
      <c r="G12" s="56">
        <f>IF(G$3=$A12,VLOOKUP(G$3,Datos!$G$9:$H$15,2,FALSE)*0.7,IF($A12=F$3,VLOOKUP($A12,Datos!$G$9:$H$15,2,FALSE)*0.3,0))</f>
        <v>3500</v>
      </c>
      <c r="H12" s="57">
        <f t="shared" ref="H12" si="2">SUM(B12:G12)</f>
        <v>3500</v>
      </c>
      <c r="I12" s="25">
        <v>1500</v>
      </c>
      <c r="J12" s="85" t="s">
        <v>96</v>
      </c>
      <c r="N12" s="52"/>
      <c r="O12" s="52" t="s">
        <v>20</v>
      </c>
      <c r="P12" s="53" t="s">
        <v>21</v>
      </c>
      <c r="Q12" s="52" t="s">
        <v>22</v>
      </c>
      <c r="R12" s="52"/>
      <c r="T12" s="2" t="s">
        <v>73</v>
      </c>
      <c r="U12" s="58">
        <f t="shared" si="1"/>
        <v>2100</v>
      </c>
    </row>
    <row r="13" spans="1:21" ht="15" thickBot="1" x14ac:dyDescent="0.45">
      <c r="A13" s="78" t="s">
        <v>59</v>
      </c>
      <c r="B13" s="38">
        <f>+Datos!B16*0.3</f>
        <v>1650</v>
      </c>
      <c r="C13" s="39">
        <f>IF(C$3=$A13,VLOOKUP(C$3,Datos!$G$9:$H$15,2,FALSE)*0.7,IF($A13=B$3,VLOOKUP($A13,Datos!$G$9:$H$15,2,FALSE)*0.3,0))</f>
        <v>0</v>
      </c>
      <c r="D13" s="71">
        <f>IF(D$3=$A13,VLOOKUP(D$3,Datos!$G$9:$H$15,2,FALSE)*0.7,IF($A13=C$3,VLOOKUP($A13,Datos!$G$9:$H$15,2,FALSE)*0.3,0))</f>
        <v>0</v>
      </c>
      <c r="E13" s="71">
        <f>IF(E$3=$A13,VLOOKUP(E$3,Datos!$G$9:$H$15,2,FALSE)*0.7,IF($A13=D$3,VLOOKUP($A13,Datos!$G$9:$H$15,2,FALSE)*0.3,0))</f>
        <v>0</v>
      </c>
      <c r="F13" s="71">
        <f>IF(F$3=$A13,VLOOKUP(F$3,Datos!$G$9:$H$15,2,FALSE)*0.7,IF($A13=E$3,VLOOKUP($A13,Datos!$G$9:$H$15,2,FALSE)*0.3,0))</f>
        <v>0</v>
      </c>
      <c r="G13" s="40">
        <f>IF(G$3=$A13,VLOOKUP(G$3,Datos!$G$9:$H$15,2,FALSE)*0.7,IF($A13=F$3,VLOOKUP($A13,Datos!$G$9:$H$15,2,FALSE)*0.3,0))</f>
        <v>0</v>
      </c>
      <c r="H13" s="76">
        <f t="shared" si="0"/>
        <v>1650</v>
      </c>
      <c r="I13" s="76"/>
      <c r="N13" s="52"/>
      <c r="O13" s="52" t="s">
        <v>21</v>
      </c>
      <c r="P13" s="53" t="s">
        <v>22</v>
      </c>
      <c r="Q13" s="52" t="s">
        <v>23</v>
      </c>
      <c r="R13" s="52"/>
      <c r="T13" s="2" t="s">
        <v>74</v>
      </c>
      <c r="U13" s="58">
        <f t="shared" si="1"/>
        <v>4200</v>
      </c>
    </row>
    <row r="14" spans="1:21" ht="29.15" customHeight="1" thickBot="1" x14ac:dyDescent="0.45">
      <c r="A14" s="13" t="s">
        <v>50</v>
      </c>
      <c r="B14" s="26">
        <f t="shared" ref="B14:H14" si="3">SUM(B5:B13)</f>
        <v>7540</v>
      </c>
      <c r="C14" s="27">
        <f t="shared" si="3"/>
        <v>3950</v>
      </c>
      <c r="D14" s="70">
        <f t="shared" si="3"/>
        <v>5950</v>
      </c>
      <c r="E14" s="70">
        <f t="shared" si="3"/>
        <v>8400</v>
      </c>
      <c r="F14" s="70">
        <f t="shared" si="3"/>
        <v>5500</v>
      </c>
      <c r="G14" s="28">
        <f t="shared" si="3"/>
        <v>4700</v>
      </c>
      <c r="H14" s="28">
        <f t="shared" si="3"/>
        <v>36040</v>
      </c>
      <c r="I14" s="28"/>
      <c r="O14" s="52" t="s">
        <v>22</v>
      </c>
      <c r="P14" s="2" t="s">
        <v>23</v>
      </c>
      <c r="Q14" s="52" t="s">
        <v>24</v>
      </c>
      <c r="T14" s="2" t="s">
        <v>20</v>
      </c>
      <c r="U14" s="58">
        <f t="shared" si="1"/>
        <v>5400</v>
      </c>
    </row>
    <row r="15" spans="1:21" ht="15" thickBot="1" x14ac:dyDescent="0.45">
      <c r="A15" s="86" t="s">
        <v>8</v>
      </c>
      <c r="B15" s="87"/>
      <c r="C15" s="87"/>
      <c r="D15" s="87"/>
      <c r="E15" s="87"/>
      <c r="F15" s="87"/>
      <c r="G15" s="87"/>
      <c r="H15" s="87"/>
      <c r="I15" s="88"/>
      <c r="O15" s="52" t="s">
        <v>23</v>
      </c>
      <c r="P15" s="2" t="s">
        <v>24</v>
      </c>
      <c r="Q15" s="52" t="s">
        <v>25</v>
      </c>
      <c r="T15" s="2" t="s">
        <v>21</v>
      </c>
      <c r="U15" s="58">
        <f t="shared" si="1"/>
        <v>2400</v>
      </c>
    </row>
    <row r="16" spans="1:21" x14ac:dyDescent="0.4">
      <c r="A16" s="10" t="s">
        <v>9</v>
      </c>
      <c r="B16" s="18">
        <v>-400</v>
      </c>
      <c r="C16" s="19">
        <v>-400</v>
      </c>
      <c r="D16" s="19">
        <v>-400</v>
      </c>
      <c r="E16" s="19">
        <v>-400</v>
      </c>
      <c r="F16" s="19">
        <v>-400</v>
      </c>
      <c r="G16" s="68">
        <v>-400</v>
      </c>
      <c r="H16" s="79">
        <f>SUM(B16:G16)</f>
        <v>-2400</v>
      </c>
      <c r="I16" s="21"/>
      <c r="T16" s="2" t="s">
        <v>22</v>
      </c>
      <c r="U16" s="58">
        <f t="shared" si="1"/>
        <v>3000</v>
      </c>
    </row>
    <row r="17" spans="1:21" x14ac:dyDescent="0.4">
      <c r="A17" s="11" t="s">
        <v>54</v>
      </c>
      <c r="B17" s="55"/>
      <c r="C17" s="37"/>
      <c r="D17" s="73"/>
      <c r="E17" s="73"/>
      <c r="F17" s="73">
        <v>-500</v>
      </c>
      <c r="G17" s="73">
        <v>-500</v>
      </c>
      <c r="H17" s="80">
        <f t="shared" ref="H17:H25" si="4">SUM(B17:G17)</f>
        <v>-1000</v>
      </c>
      <c r="I17" s="57">
        <f>+Datos!H2+FINANCIERO!G17+FINANCIERO!F17</f>
        <v>500</v>
      </c>
      <c r="J17" s="6" t="s">
        <v>63</v>
      </c>
      <c r="T17" s="2" t="s">
        <v>23</v>
      </c>
      <c r="U17" s="58">
        <f>+N31</f>
        <v>2700</v>
      </c>
    </row>
    <row r="18" spans="1:21" ht="18.45" x14ac:dyDescent="0.4">
      <c r="A18" s="11" t="str">
        <f t="shared" ref="A18:A25" si="5">+$M$8&amp;O7&amp;$M$9&amp;P7&amp;$M$10&amp;O7&amp;$M$11&amp;Q7</f>
        <v>compro en mayo para junio pago 20% en mayoy 80% en julio</v>
      </c>
      <c r="B18" s="55">
        <f>-0.8*U10</f>
        <v>-2640</v>
      </c>
      <c r="C18" s="37"/>
      <c r="D18" s="73"/>
      <c r="E18" s="73"/>
      <c r="F18" s="73"/>
      <c r="G18" s="73"/>
      <c r="H18" s="80">
        <f t="shared" si="4"/>
        <v>-2640</v>
      </c>
      <c r="I18" s="57"/>
      <c r="N18" s="83" t="s">
        <v>91</v>
      </c>
    </row>
    <row r="19" spans="1:21" x14ac:dyDescent="0.4">
      <c r="A19" s="11" t="str">
        <f t="shared" si="5"/>
        <v>compro en junio para julio pago 20% en junioy 80% en agosto</v>
      </c>
      <c r="B19" s="55"/>
      <c r="C19" s="37">
        <f>-0.8*U11</f>
        <v>-2400</v>
      </c>
      <c r="D19" s="73"/>
      <c r="E19" s="73"/>
      <c r="F19" s="73"/>
      <c r="G19" s="73"/>
      <c r="H19" s="80">
        <f t="shared" si="4"/>
        <v>-2400</v>
      </c>
      <c r="I19" s="57"/>
      <c r="K19" s="2" t="s">
        <v>58</v>
      </c>
      <c r="L19" s="58" t="str">
        <f>+Datos!A11</f>
        <v>enero</v>
      </c>
      <c r="M19" s="58">
        <f>+Datos!B11</f>
        <v>3000</v>
      </c>
      <c r="N19" s="58">
        <f t="shared" ref="N19:N31" si="6">+M19*0.6</f>
        <v>1800</v>
      </c>
    </row>
    <row r="20" spans="1:21" x14ac:dyDescent="0.4">
      <c r="A20" s="11" t="str">
        <f t="shared" si="5"/>
        <v>compro en julio para agosto pago 20% en julioy 80% en septiembre</v>
      </c>
      <c r="B20" s="55">
        <f>-0.2*U12</f>
        <v>-420</v>
      </c>
      <c r="C20" s="37"/>
      <c r="D20" s="37">
        <f>-0.8*U12</f>
        <v>-1680</v>
      </c>
      <c r="E20" s="73"/>
      <c r="F20" s="73"/>
      <c r="G20" s="73"/>
      <c r="H20" s="80">
        <f t="shared" si="4"/>
        <v>-2100</v>
      </c>
      <c r="I20" s="57"/>
      <c r="L20" s="58" t="str">
        <f>+Datos!A12</f>
        <v>febrero</v>
      </c>
      <c r="M20" s="58">
        <f>+Datos!B12</f>
        <v>4500</v>
      </c>
      <c r="N20" s="58">
        <f t="shared" si="6"/>
        <v>2700</v>
      </c>
    </row>
    <row r="21" spans="1:21" x14ac:dyDescent="0.4">
      <c r="A21" s="11" t="str">
        <f t="shared" si="5"/>
        <v>compro en agosto para septiembre pago 20% en agostoy 80% en octubre</v>
      </c>
      <c r="B21" s="55"/>
      <c r="C21" s="37">
        <f>-0.2*U13</f>
        <v>-840</v>
      </c>
      <c r="D21" s="73"/>
      <c r="E21" s="37">
        <f>-0.8*U13</f>
        <v>-3360</v>
      </c>
      <c r="F21" s="73"/>
      <c r="G21" s="73"/>
      <c r="H21" s="80">
        <f t="shared" si="4"/>
        <v>-4200</v>
      </c>
      <c r="I21" s="57"/>
      <c r="L21" s="58" t="str">
        <f>+Datos!A13</f>
        <v>marzo</v>
      </c>
      <c r="M21" s="58">
        <f>+Datos!B13</f>
        <v>4000</v>
      </c>
      <c r="N21" s="58">
        <f t="shared" si="6"/>
        <v>2400</v>
      </c>
    </row>
    <row r="22" spans="1:21" x14ac:dyDescent="0.4">
      <c r="A22" s="11" t="str">
        <f t="shared" si="5"/>
        <v>compro en septiembre para octubre pago 20% en septiembrey 80% en noviembre</v>
      </c>
      <c r="B22" s="55"/>
      <c r="C22" s="37"/>
      <c r="D22" s="37">
        <f>-0.2*U14</f>
        <v>-1080</v>
      </c>
      <c r="E22" s="73"/>
      <c r="F22" s="37">
        <f>-0.8*U14</f>
        <v>-4320</v>
      </c>
      <c r="G22" s="73"/>
      <c r="H22" s="80">
        <f t="shared" si="4"/>
        <v>-5400</v>
      </c>
      <c r="I22" s="57"/>
      <c r="L22" s="58" t="str">
        <f>+Datos!A14</f>
        <v>abril</v>
      </c>
      <c r="M22" s="58">
        <f>+Datos!B14</f>
        <v>5000</v>
      </c>
      <c r="N22" s="58">
        <f t="shared" si="6"/>
        <v>3000</v>
      </c>
    </row>
    <row r="23" spans="1:21" x14ac:dyDescent="0.4">
      <c r="A23" s="11" t="str">
        <f t="shared" si="5"/>
        <v>compro en octubre para noviembre pago 20% en octubrey 80% en diciembre</v>
      </c>
      <c r="B23" s="55"/>
      <c r="C23" s="37"/>
      <c r="D23" s="73"/>
      <c r="E23" s="37">
        <f>-0.2*U15</f>
        <v>-480</v>
      </c>
      <c r="F23" s="73"/>
      <c r="G23" s="37">
        <f>-0.8*U15</f>
        <v>-1920</v>
      </c>
      <c r="H23" s="80">
        <f t="shared" si="4"/>
        <v>-2400</v>
      </c>
      <c r="I23" s="57"/>
      <c r="L23" s="58" t="str">
        <f>+Datos!A15</f>
        <v>mayo</v>
      </c>
      <c r="M23" s="58">
        <f>+Datos!B15</f>
        <v>4500</v>
      </c>
      <c r="N23" s="58">
        <f t="shared" si="6"/>
        <v>2700</v>
      </c>
    </row>
    <row r="24" spans="1:21" x14ac:dyDescent="0.4">
      <c r="A24" s="11" t="str">
        <f t="shared" si="5"/>
        <v>compro en noviembre para diciembre pago 20% en noviembrey 80% en enero</v>
      </c>
      <c r="B24" s="55"/>
      <c r="C24" s="37"/>
      <c r="D24" s="73"/>
      <c r="E24" s="73"/>
      <c r="F24" s="37">
        <f>-0.2*U16</f>
        <v>-600</v>
      </c>
      <c r="G24" s="73"/>
      <c r="H24" s="80">
        <f t="shared" si="4"/>
        <v>-600</v>
      </c>
      <c r="I24" s="57">
        <f>0.8*U16</f>
        <v>2400</v>
      </c>
      <c r="L24" s="58" t="str">
        <f>+Datos!A16</f>
        <v>junio</v>
      </c>
      <c r="M24" s="58">
        <f>+Datos!B16</f>
        <v>5500</v>
      </c>
      <c r="N24" s="58">
        <f t="shared" si="6"/>
        <v>3300</v>
      </c>
    </row>
    <row r="25" spans="1:21" x14ac:dyDescent="0.4">
      <c r="A25" s="11" t="str">
        <f t="shared" si="5"/>
        <v>compro en diciembre para enero pago 20% en diciembrey 80% en febrero</v>
      </c>
      <c r="B25" s="55"/>
      <c r="C25" s="37"/>
      <c r="D25" s="73"/>
      <c r="E25" s="73"/>
      <c r="F25" s="73"/>
      <c r="G25" s="37">
        <f>-0.2*U17</f>
        <v>-540</v>
      </c>
      <c r="H25" s="80">
        <f t="shared" si="4"/>
        <v>-540</v>
      </c>
      <c r="I25" s="57">
        <f>+U17*0.8</f>
        <v>2160</v>
      </c>
      <c r="L25" s="58" t="str">
        <f>+Datos!G9</f>
        <v>julio</v>
      </c>
      <c r="M25" s="58">
        <f>+Datos!H9</f>
        <v>5000</v>
      </c>
      <c r="N25" s="58">
        <f t="shared" si="6"/>
        <v>3000</v>
      </c>
    </row>
    <row r="26" spans="1:21" ht="16.3" customHeight="1" thickBot="1" x14ac:dyDescent="0.45">
      <c r="A26" s="11"/>
      <c r="B26" s="38"/>
      <c r="C26" s="39"/>
      <c r="D26" s="71"/>
      <c r="E26" s="71"/>
      <c r="F26" s="71"/>
      <c r="G26" s="71"/>
      <c r="H26" s="81"/>
      <c r="I26" s="25"/>
      <c r="L26" s="58" t="str">
        <f>+Datos!G10</f>
        <v>agosto</v>
      </c>
      <c r="M26" s="58">
        <f>+Datos!H10</f>
        <v>3500</v>
      </c>
      <c r="N26" s="58">
        <f t="shared" si="6"/>
        <v>2100</v>
      </c>
    </row>
    <row r="27" spans="1:21" ht="31.3" customHeight="1" thickBot="1" x14ac:dyDescent="0.45">
      <c r="A27" s="13" t="s">
        <v>51</v>
      </c>
      <c r="B27" s="34">
        <f t="shared" ref="B27:H27" si="7">SUM(B16:B26)</f>
        <v>-3460</v>
      </c>
      <c r="C27" s="35">
        <f t="shared" si="7"/>
        <v>-3640</v>
      </c>
      <c r="D27" s="72">
        <f t="shared" si="7"/>
        <v>-3160</v>
      </c>
      <c r="E27" s="72">
        <f t="shared" si="7"/>
        <v>-4240</v>
      </c>
      <c r="F27" s="72">
        <f t="shared" si="7"/>
        <v>-5820</v>
      </c>
      <c r="G27" s="36">
        <f t="shared" si="7"/>
        <v>-3360</v>
      </c>
      <c r="H27" s="28">
        <f t="shared" si="7"/>
        <v>-23680</v>
      </c>
      <c r="I27" s="54"/>
      <c r="L27" s="58" t="str">
        <f>+Datos!G11</f>
        <v>septiembre</v>
      </c>
      <c r="M27" s="58">
        <f>+Datos!H11</f>
        <v>7000</v>
      </c>
      <c r="N27" s="58">
        <f t="shared" si="6"/>
        <v>4200</v>
      </c>
    </row>
    <row r="28" spans="1:21" ht="31.3" customHeight="1" thickBot="1" x14ac:dyDescent="0.45">
      <c r="A28" s="13" t="s">
        <v>51</v>
      </c>
      <c r="B28" s="34">
        <f t="shared" ref="B28:H28" si="8">+B14+B27</f>
        <v>4080</v>
      </c>
      <c r="C28" s="35">
        <f t="shared" si="8"/>
        <v>310</v>
      </c>
      <c r="D28" s="72">
        <f t="shared" si="8"/>
        <v>2790</v>
      </c>
      <c r="E28" s="72">
        <f t="shared" si="8"/>
        <v>4160</v>
      </c>
      <c r="F28" s="72">
        <f t="shared" si="8"/>
        <v>-320</v>
      </c>
      <c r="G28" s="36">
        <f t="shared" si="8"/>
        <v>1340</v>
      </c>
      <c r="H28" s="36">
        <f t="shared" si="8"/>
        <v>12360</v>
      </c>
      <c r="I28" s="54"/>
      <c r="L28" s="58" t="str">
        <f>+Datos!G12</f>
        <v>octubre</v>
      </c>
      <c r="M28" s="58">
        <f>+Datos!H12</f>
        <v>9000</v>
      </c>
      <c r="N28" s="58">
        <f t="shared" si="6"/>
        <v>5400</v>
      </c>
    </row>
    <row r="29" spans="1:21" ht="15" thickBot="1" x14ac:dyDescent="0.45">
      <c r="A29" s="13" t="s">
        <v>90</v>
      </c>
      <c r="B29" s="34">
        <f>+B28</f>
        <v>4080</v>
      </c>
      <c r="C29" s="35">
        <f>+C28+B29</f>
        <v>4390</v>
      </c>
      <c r="D29" s="72">
        <f t="shared" ref="D29:G29" si="9">+D28+C29</f>
        <v>7180</v>
      </c>
      <c r="E29" s="72">
        <f t="shared" si="9"/>
        <v>11340</v>
      </c>
      <c r="F29" s="72">
        <f t="shared" si="9"/>
        <v>11020</v>
      </c>
      <c r="G29" s="36">
        <f t="shared" si="9"/>
        <v>12360</v>
      </c>
      <c r="H29" s="28"/>
      <c r="I29" s="54"/>
      <c r="L29" s="58" t="str">
        <f>+Datos!G13</f>
        <v>noviembre</v>
      </c>
      <c r="M29" s="58">
        <f>+Datos!H13</f>
        <v>4000</v>
      </c>
      <c r="N29" s="58">
        <f t="shared" si="6"/>
        <v>2400</v>
      </c>
    </row>
    <row r="30" spans="1:21" x14ac:dyDescent="0.4">
      <c r="L30" s="58" t="str">
        <f>+Datos!G14</f>
        <v>diciembre</v>
      </c>
      <c r="M30" s="58">
        <f>+Datos!H14</f>
        <v>5000</v>
      </c>
      <c r="N30" s="58">
        <f t="shared" si="6"/>
        <v>3000</v>
      </c>
    </row>
    <row r="31" spans="1:21" x14ac:dyDescent="0.4">
      <c r="L31" s="2" t="s">
        <v>23</v>
      </c>
      <c r="M31" s="58">
        <f>+Datos!H15</f>
        <v>4500</v>
      </c>
      <c r="N31" s="58">
        <f t="shared" si="6"/>
        <v>2700</v>
      </c>
    </row>
    <row r="33" spans="1:3" x14ac:dyDescent="0.4">
      <c r="A33" s="84" t="s">
        <v>92</v>
      </c>
      <c r="B33" s="58">
        <f>SUM(B18:C19)</f>
        <v>-5040</v>
      </c>
      <c r="C33" s="2" t="s">
        <v>93</v>
      </c>
    </row>
  </sheetData>
  <mergeCells count="8">
    <mergeCell ref="A4:I4"/>
    <mergeCell ref="A15:I15"/>
    <mergeCell ref="M1:R1"/>
    <mergeCell ref="I2:I3"/>
    <mergeCell ref="A1:I1"/>
    <mergeCell ref="A2:A3"/>
    <mergeCell ref="B2:G2"/>
    <mergeCell ref="H2:H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ACF-C40C-40B5-A45D-D539566CF32B}">
  <dimension ref="A1:L25"/>
  <sheetViews>
    <sheetView tabSelected="1" zoomScale="78" workbookViewId="0">
      <selection activeCell="D16" sqref="D16"/>
    </sheetView>
  </sheetViews>
  <sheetFormatPr baseColWidth="10" defaultRowHeight="14.6" x14ac:dyDescent="0.4"/>
  <cols>
    <col min="1" max="1" width="15.84375" style="60" customWidth="1"/>
    <col min="2" max="2" width="14.53515625" style="60" customWidth="1"/>
    <col min="3" max="3" width="11.07421875" style="60"/>
    <col min="4" max="4" width="18.07421875" style="60" customWidth="1"/>
    <col min="5" max="5" width="13.3046875" style="60" customWidth="1"/>
    <col min="6" max="8" width="11.07421875" style="60"/>
    <col min="9" max="9" width="62.921875" style="60" bestFit="1" customWidth="1"/>
    <col min="10" max="10" width="3.61328125" style="60" customWidth="1"/>
    <col min="11" max="16384" width="11.07421875" style="60"/>
  </cols>
  <sheetData>
    <row r="1" spans="1:12" ht="23.15" customHeight="1" x14ac:dyDescent="0.4">
      <c r="A1" s="59" t="s">
        <v>11</v>
      </c>
      <c r="D1" s="59" t="s">
        <v>14</v>
      </c>
      <c r="I1" s="59" t="s">
        <v>61</v>
      </c>
    </row>
    <row r="2" spans="1:12" x14ac:dyDescent="0.4">
      <c r="A2" s="60" t="s">
        <v>12</v>
      </c>
      <c r="B2" s="60">
        <f>+FINANCIERO!H28</f>
        <v>12360</v>
      </c>
      <c r="D2" s="59" t="s">
        <v>64</v>
      </c>
      <c r="I2" s="59" t="s">
        <v>55</v>
      </c>
      <c r="J2" s="59"/>
      <c r="K2" s="60">
        <f>+Datos!B5</f>
        <v>2500</v>
      </c>
      <c r="L2" s="59" t="s">
        <v>62</v>
      </c>
    </row>
    <row r="3" spans="1:12" x14ac:dyDescent="0.4">
      <c r="A3" s="60" t="s">
        <v>97</v>
      </c>
      <c r="B3" s="60">
        <f>+FINANCIERO!I12</f>
        <v>1500</v>
      </c>
      <c r="D3" s="60" t="s">
        <v>15</v>
      </c>
      <c r="E3" s="60">
        <f>+FINANCIERO!I17</f>
        <v>500</v>
      </c>
    </row>
    <row r="4" spans="1:12" x14ac:dyDescent="0.4">
      <c r="A4" s="60" t="s">
        <v>76</v>
      </c>
      <c r="B4" s="60">
        <v>12000</v>
      </c>
      <c r="D4" s="61" t="s">
        <v>16</v>
      </c>
      <c r="E4" s="61">
        <f>+FINANCIERO!I25+FINANCIERO!I24</f>
        <v>4560</v>
      </c>
      <c r="I4" s="60" t="str">
        <f>+FINANCIERO!A19</f>
        <v>compro en junio para julio pago 20% en junioy 80% en agosto</v>
      </c>
      <c r="K4" s="60">
        <f>-FINANCIERO!U11</f>
        <v>-3000</v>
      </c>
    </row>
    <row r="5" spans="1:12" x14ac:dyDescent="0.4">
      <c r="A5" s="60" t="s">
        <v>98</v>
      </c>
      <c r="B5" s="60">
        <v>-600</v>
      </c>
      <c r="D5" s="64" t="s">
        <v>69</v>
      </c>
      <c r="E5" s="64">
        <f>SUM(E3:E4)</f>
        <v>5060</v>
      </c>
      <c r="I5" s="60" t="str">
        <f>+FINANCIERO!A25</f>
        <v>compro en diciembre para enero pago 20% en diciembrey 80% en febrero</v>
      </c>
      <c r="K5" s="61">
        <f>+FINANCIERO!U17</f>
        <v>2700</v>
      </c>
    </row>
    <row r="6" spans="1:12" x14ac:dyDescent="0.4">
      <c r="A6" s="61" t="s">
        <v>13</v>
      </c>
      <c r="B6" s="61">
        <f>+K6</f>
        <v>2200</v>
      </c>
      <c r="J6" s="62"/>
      <c r="K6" s="60">
        <f>SUM(K2:K5)</f>
        <v>2200</v>
      </c>
    </row>
    <row r="7" spans="1:12" x14ac:dyDescent="0.4">
      <c r="A7" s="64" t="s">
        <v>70</v>
      </c>
      <c r="B7" s="64">
        <f>SUM(B2:B6)</f>
        <v>27460</v>
      </c>
      <c r="D7" s="59" t="s">
        <v>65</v>
      </c>
    </row>
    <row r="8" spans="1:12" ht="15" thickBot="1" x14ac:dyDescent="0.45">
      <c r="D8" s="60" t="s">
        <v>66</v>
      </c>
      <c r="E8" s="60">
        <f>+Datos!H4</f>
        <v>12000</v>
      </c>
    </row>
    <row r="9" spans="1:12" ht="15" thickBot="1" x14ac:dyDescent="0.45">
      <c r="D9" s="61" t="s">
        <v>67</v>
      </c>
      <c r="E9" s="61">
        <f>+ECONÓMICO!H11</f>
        <v>10400</v>
      </c>
      <c r="J9" s="62"/>
      <c r="K9" s="63"/>
    </row>
    <row r="10" spans="1:12" x14ac:dyDescent="0.4">
      <c r="D10" s="64" t="s">
        <v>71</v>
      </c>
      <c r="E10" s="64">
        <f>SUM(E8:E9)</f>
        <v>22400</v>
      </c>
    </row>
    <row r="12" spans="1:12" x14ac:dyDescent="0.4">
      <c r="D12" s="64" t="s">
        <v>72</v>
      </c>
      <c r="E12" s="64">
        <f>+E10+E5</f>
        <v>27460</v>
      </c>
    </row>
    <row r="13" spans="1:12" x14ac:dyDescent="0.4">
      <c r="A13" s="60" t="s">
        <v>94</v>
      </c>
    </row>
    <row r="14" spans="1:12" x14ac:dyDescent="0.4">
      <c r="A14" s="60" t="s">
        <v>95</v>
      </c>
    </row>
    <row r="16" spans="1:12" ht="15" thickBot="1" x14ac:dyDescent="0.45"/>
    <row r="17" spans="1:5" x14ac:dyDescent="0.4">
      <c r="A17" s="99" t="str">
        <f>IF(B7=E12,"Activo = Pasivo+PN","hay errores")</f>
        <v>Activo = Pasivo+PN</v>
      </c>
      <c r="B17" s="100"/>
      <c r="C17" s="65"/>
    </row>
    <row r="18" spans="1:5" ht="15" thickBot="1" x14ac:dyDescent="0.45">
      <c r="A18" s="101"/>
      <c r="B18" s="102"/>
      <c r="E18" s="66"/>
    </row>
    <row r="19" spans="1:5" x14ac:dyDescent="0.4">
      <c r="A19" s="64"/>
      <c r="C19" s="66"/>
      <c r="E19" s="66"/>
    </row>
    <row r="20" spans="1:5" x14ac:dyDescent="0.4">
      <c r="C20" s="66"/>
    </row>
    <row r="25" spans="1:5" x14ac:dyDescent="0.4">
      <c r="C25" s="65"/>
    </row>
  </sheetData>
  <mergeCells count="1">
    <mergeCell ref="A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ECONÓMICO</vt:lpstr>
      <vt:lpstr>FINANCIERO</vt:lpstr>
      <vt:lpstr>Pasivo +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2025-06-28T17:14:30Z</dcterms:created>
  <dcterms:modified xsi:type="dcterms:W3CDTF">2025-07-29T02:39:29Z</dcterms:modified>
</cp:coreProperties>
</file>